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ssumptions" sheetId="2" state="visible" r:id="rId4"/>
    <sheet name="MarginModel" sheetId="3" state="visible" r:id="rId5"/>
    <sheet name="Scenari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<sst xmlns="http://schemas.openxmlformats.org/spreadsheetml/2006/main" count="102" uniqueCount="93">
  <si>
    <t xml:space="preserve">B-Ville Launch Pad Suite - Cost-to-Serve &amp; Margin Model</t>
  </si>
  <si>
    <t xml:space="preserve">Bootstrapped / profit-first build.  Sales tax is passed through to customers (revenue-neutral), so only the compliance tooling cost is modeled here.</t>
  </si>
  <si>
    <t xml:space="preserve">How to use this model</t>
  </si>
  <si>
    <t xml:space="preserve">1.  Edit only the BLUE cells on the 'Assumptions' tab. Everything else is a live formula.</t>
  </si>
  <si>
    <t xml:space="preserve">2.  YELLOW cells are the highest-leverage assumptions - start there.</t>
  </si>
  <si>
    <t xml:space="preserve">3.  'MarginModel' shows fully-loaded cost-to-serve and real gross margin per tier, next to your</t>
  </si>
  <si>
    <t xml:space="preserve">     document's AI+infra-only margin so you can see the gap.</t>
  </si>
  <si>
    <t xml:space="preserve">4.  'Scenarios' stress-tests the two things that matter most for you: annual vs monthly billing,</t>
  </si>
  <si>
    <t xml:space="preserve">     and AI price moves (incl. the regenerate-loophole risk your v5 open-items flagged).</t>
  </si>
  <si>
    <t xml:space="preserve">Colour key</t>
  </si>
  <si>
    <t xml:space="preserve">   Blue text  = editable input / scenario lever</t>
  </si>
  <si>
    <t xml:space="preserve">   Black text = calculated formula</t>
  </si>
  <si>
    <t xml:space="preserve">   Yellow fill = key assumption worth pressure-testing</t>
  </si>
  <si>
    <t xml:space="preserve">Sources</t>
  </si>
  <si>
    <t xml:space="preserve">   Price / AI cost / Infra per tier: BVille_Tier_Limitations_v5.docx (margin verification table).</t>
  </si>
  <si>
    <t xml:space="preserve">   Stripe fees: 2.9% + $0.30 base, +0.7% Billing (Stripe pricing, 2026).</t>
  </si>
  <si>
    <t xml:space="preserve">   Sales-tax tooling ~0.5%: Stripe Tax (2026). SaaS taxable in ~25 US jurisdictions incl. New York.</t>
  </si>
  <si>
    <t xml:space="preserve">   Support $ per tier and customer-mix counts are PLACEHOLDERS - replace with your real numbers.</t>
  </si>
  <si>
    <t xml:space="preserve">Global Assumptions &amp; Levers</t>
  </si>
  <si>
    <t xml:space="preserve">Edit blue cells. Percentages are stored as fractions (0.029 = 2.9%).</t>
  </si>
  <si>
    <t xml:space="preserve">Lever</t>
  </si>
  <si>
    <t xml:space="preserve">Value</t>
  </si>
  <si>
    <t xml:space="preserve">Notes</t>
  </si>
  <si>
    <t xml:space="preserve">Stripe processing rate (%)</t>
  </si>
  <si>
    <t xml:space="preserve">Standard US online card rate</t>
  </si>
  <si>
    <t xml:space="preserve">Stripe fixed fee per charge ($)</t>
  </si>
  <si>
    <t xml:space="preserve">Per successful charge - punishes low-price/high-frequency billing</t>
  </si>
  <si>
    <t xml:space="preserve">Stripe Billing add-on (%)</t>
  </si>
  <si>
    <t xml:space="preserve">Subscription management layer</t>
  </si>
  <si>
    <t xml:space="preserve">Billing charges per year</t>
  </si>
  <si>
    <t xml:space="preserve">12 = monthly billing;  1 = annual billing (KEY lever)</t>
  </si>
  <si>
    <t xml:space="preserve">Sales-tax tooling (% of price)</t>
  </si>
  <si>
    <t xml:space="preserve">Stripe Tax. Tax itself is passed through, not a cost</t>
  </si>
  <si>
    <t xml:space="preserve">Dispute / chargeback rate</t>
  </si>
  <si>
    <t xml:space="preserve">Share of charges disputed</t>
  </si>
  <si>
    <t xml:space="preserve">Dispute fee ($)</t>
  </si>
  <si>
    <t xml:space="preserve">Non-refundable, even if you win</t>
  </si>
  <si>
    <t xml:space="preserve">AI price multiplier</t>
  </si>
  <si>
    <t xml:space="preserve">Scenario lever: 1.0 = today. &lt;1 = cheaper models, &gt;1 = scope creep</t>
  </si>
  <si>
    <t xml:space="preserve">Trial -&gt; paid conversion rate</t>
  </si>
  <si>
    <t xml:space="preserve">KEY. You have no behavioural data yet - guess &amp; test</t>
  </si>
  <si>
    <t xml:space="preserve">Trial AI cost per trial user ($)</t>
  </si>
  <si>
    <t xml:space="preserve">Inference burned by a 7-day trial (2 Enh + 2 Draft + 1 Cov + 25 Cooper)</t>
  </si>
  <si>
    <t xml:space="preserve">Expected customer lifetime (months)</t>
  </si>
  <si>
    <t xml:space="preserve">Used to amortise trial burn</t>
  </si>
  <si>
    <t xml:space="preserve">Per-Tier Inputs</t>
  </si>
  <si>
    <t xml:space="preserve">Tier</t>
  </si>
  <si>
    <t xml:space="preserve">Price ($/mo)</t>
  </si>
  <si>
    <t xml:space="preserve">AI cost ($/mo)</t>
  </si>
  <si>
    <t xml:space="preserve">Infra ($/mo)</t>
  </si>
  <si>
    <t xml:space="preserve">Support ($/mo)</t>
  </si>
  <si>
    <t xml:space="preserve">Segment</t>
  </si>
  <si>
    <t xml:space="preserve">Est. customers</t>
  </si>
  <si>
    <t xml:space="preserve">Starter</t>
  </si>
  <si>
    <t xml:space="preserve">B2C</t>
  </si>
  <si>
    <t xml:space="preserve">Standard</t>
  </si>
  <si>
    <t xml:space="preserve">Premium Pro</t>
  </si>
  <si>
    <t xml:space="preserve">Elite</t>
  </si>
  <si>
    <t xml:space="preserve">Studio (B2B)</t>
  </si>
  <si>
    <t xml:space="preserve">B2B</t>
  </si>
  <si>
    <t xml:space="preserve">Pro (B2B)</t>
  </si>
  <si>
    <t xml:space="preserve">Enterprise</t>
  </si>
  <si>
    <t xml:space="preserve">Blue = editable. Price/AI/Infra from v5 doc. Support $ and customer counts are placeholders - replace with real data.</t>
  </si>
  <si>
    <t xml:space="preserve">Fully-Loaded Cost-to-Serve &amp; Real Gross Margin</t>
  </si>
  <si>
    <t xml:space="preserve">All figures $/month per account, unless noted. Compare column K (real) with column L (your doc's AI+infra-only margin).</t>
  </si>
  <si>
    <t xml:space="preserve">Price</t>
  </si>
  <si>
    <t xml:space="preserve">AI (eff)</t>
  </si>
  <si>
    <t xml:space="preserve">Infra</t>
  </si>
  <si>
    <t xml:space="preserve">Payment</t>
  </si>
  <si>
    <t xml:space="preserve">Tax tool</t>
  </si>
  <si>
    <t xml:space="preserve">Support</t>
  </si>
  <si>
    <t xml:space="preserve">Trial burn</t>
  </si>
  <si>
    <t xml:space="preserve">Total cost</t>
  </si>
  <si>
    <t xml:space="preserve">Gross profit</t>
  </si>
  <si>
    <t xml:space="preserve">Gross margin %</t>
  </si>
  <si>
    <t xml:space="preserve">Doc margin</t>
  </si>
  <si>
    <t xml:space="preserve">Margin gap</t>
  </si>
  <si>
    <t xml:space="preserve">Customers</t>
  </si>
  <si>
    <t xml:space="preserve">BLENDED (rev-weighted)</t>
  </si>
  <si>
    <t xml:space="preserve">Column B on the blended row = total monthly revenue; column J = total monthly gross profit.</t>
  </si>
  <si>
    <t xml:space="preserve">'Margin gap' = how much your doc's AI+infra-only view overstates true margin.</t>
  </si>
  <si>
    <t xml:space="preserve">Scenarios</t>
  </si>
  <si>
    <t xml:space="preserve">1.  Annual vs Monthly billing  (fixed-fee drag)</t>
  </si>
  <si>
    <t xml:space="preserve">Annual billing charges the fixed $0.30 once/yr instead of 12x. Biggest lever on your low tiers.</t>
  </si>
  <si>
    <t xml:space="preserve">Payment % (monthly)</t>
  </si>
  <si>
    <t xml:space="preserve">Payment % (annual)</t>
  </si>
  <si>
    <t xml:space="preserve">Margin uplift (pts)</t>
  </si>
  <si>
    <t xml:space="preserve">2.  AI price sensitivity  (real gross margin at each multiplier)</t>
  </si>
  <si>
    <t xml:space="preserve">Holds everything else at current assumptions and swaps only the AI cost. The 3.0x column is your regenerate-loophole / scope-creep stress test.</t>
  </si>
  <si>
    <t xml:space="preserve">0.5x (cheaper)</t>
  </si>
  <si>
    <t xml:space="preserve">1.0x (today)</t>
  </si>
  <si>
    <t xml:space="preserve">2.0x</t>
  </si>
  <si>
    <t xml:space="preserve">3.0x (loophole)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</si>
</sst>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\$#,##0.00;&quot;($&quot;#,##0.00\);\-"/>
    <numFmt numFmtId="167" formatCode="#,##0"/>
    <numFmt numFmtId="168" formatCode="#,##0.00"/>
    <numFmt numFmtId="169" formatCode="\$#,##0;&quot;($&quot;#,##0\);\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1F2"/>
        <bgColor rgb="FFE2EFDA"/>
      </patternFill>
    </fill>
    <fill>
      <patternFill patternType="solid">
        <fgColor rgb="FFE2EFDA"/>
        <bgColor rgb="FFD9E1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15" hidden="false" customHeight="false" outlineLevel="0" collapsed="false">
      <c r="A8" s="4" t="s">
        <v>6</v>
      </c>
    </row>
    <row r="9" customFormat="false" ht="15" hidden="false" customHeight="false" outlineLevel="0" collapsed="false">
      <c r="A9" s="4" t="s">
        <v>7</v>
      </c>
    </row>
    <row r="10" customFormat="false" ht="15" hidden="false" customHeight="false" outlineLevel="0" collapsed="false">
      <c r="A10" s="4" t="s">
        <v>8</v>
      </c>
    </row>
    <row r="11" customFormat="false" ht="15" hidden="false" customHeight="false" outlineLevel="0" collapsed="false">
      <c r="A11" s="4"/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5" t="s">
        <v>10</v>
      </c>
    </row>
    <row r="14" customFormat="false" ht="15" hidden="false" customHeight="false" outlineLevel="0" collapsed="false">
      <c r="A14" s="6" t="s">
        <v>11</v>
      </c>
    </row>
    <row r="15" customFormat="false" ht="15" hidden="false" customHeight="false" outlineLevel="0" collapsed="false">
      <c r="A15" s="4" t="s">
        <v>12</v>
      </c>
    </row>
    <row r="16" customFormat="false" ht="15" hidden="false" customHeight="false" outlineLevel="0" collapsed="false">
      <c r="A16" s="4"/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4" t="s">
        <v>14</v>
      </c>
    </row>
    <row r="19" customFormat="false" ht="15" hidden="false" customHeight="false" outlineLevel="0" collapsed="false">
      <c r="A19" s="4" t="s">
        <v>15</v>
      </c>
    </row>
    <row r="20" customFormat="false" ht="15" hidden="false" customHeight="false" outlineLevel="0" collapsed="false">
      <c r="A20" s="4" t="s">
        <v>16</v>
      </c>
    </row>
    <row r="21" customFormat="false" ht="15" hidden="false" customHeight="false" outlineLevel="0" collapsed="false">
      <c r="A21" s="4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5"/>
    <col collapsed="false" customWidth="true" hidden="false" outlineLevel="0" max="4" min="4" style="0" width="14"/>
    <col collapsed="false" customWidth="true" hidden="false" outlineLevel="0" max="5" min="5" style="0" width="15"/>
    <col collapsed="false" customWidth="true" hidden="false" outlineLevel="0" max="6" min="6" style="0" width="10"/>
    <col collapsed="false" customWidth="true" hidden="false" outlineLevel="0" max="7" min="7" style="0" width="14"/>
  </cols>
  <sheetData>
    <row r="1" customFormat="false" ht="17.35" hidden="false" customHeight="false" outlineLevel="0" collapsed="false">
      <c r="A1" s="1" t="s">
        <v>18</v>
      </c>
    </row>
    <row r="2" customFormat="false" ht="15" hidden="false" customHeight="false" outlineLevel="0" collapsed="false">
      <c r="A2" s="2" t="s">
        <v>19</v>
      </c>
    </row>
    <row r="3" customFormat="false" ht="15" hidden="false" customHeight="false" outlineLevel="0" collapsed="false">
      <c r="A3" s="7" t="s">
        <v>20</v>
      </c>
      <c r="B3" s="7" t="s">
        <v>21</v>
      </c>
      <c r="C3" s="7" t="s">
        <v>22</v>
      </c>
    </row>
    <row r="4" customFormat="false" ht="15" hidden="false" customHeight="false" outlineLevel="0" collapsed="false">
      <c r="A4" s="8" t="s">
        <v>23</v>
      </c>
      <c r="B4" s="9" t="n">
        <v>0.029</v>
      </c>
      <c r="C4" s="10" t="s">
        <v>24</v>
      </c>
    </row>
    <row r="5" customFormat="false" ht="15" hidden="false" customHeight="false" outlineLevel="0" collapsed="false">
      <c r="A5" s="8" t="s">
        <v>25</v>
      </c>
      <c r="B5" s="11" t="n">
        <v>0.3</v>
      </c>
      <c r="C5" s="10" t="s">
        <v>26</v>
      </c>
    </row>
    <row r="6" customFormat="false" ht="15" hidden="false" customHeight="false" outlineLevel="0" collapsed="false">
      <c r="A6" s="8" t="s">
        <v>27</v>
      </c>
      <c r="B6" s="9" t="n">
        <v>0.007</v>
      </c>
      <c r="C6" s="10" t="s">
        <v>28</v>
      </c>
    </row>
    <row r="7" customFormat="false" ht="15" hidden="false" customHeight="false" outlineLevel="0" collapsed="false">
      <c r="A7" s="8" t="s">
        <v>29</v>
      </c>
      <c r="B7" s="12" t="n">
        <v>12</v>
      </c>
      <c r="C7" s="10" t="s">
        <v>30</v>
      </c>
    </row>
    <row r="8" customFormat="false" ht="15" hidden="false" customHeight="false" outlineLevel="0" collapsed="false">
      <c r="A8" s="8" t="s">
        <v>31</v>
      </c>
      <c r="B8" s="9" t="n">
        <v>0.005</v>
      </c>
      <c r="C8" s="10" t="s">
        <v>32</v>
      </c>
    </row>
    <row r="9" customFormat="false" ht="15" hidden="false" customHeight="false" outlineLevel="0" collapsed="false">
      <c r="A9" s="8" t="s">
        <v>33</v>
      </c>
      <c r="B9" s="9" t="n">
        <v>0.01</v>
      </c>
      <c r="C9" s="10" t="s">
        <v>34</v>
      </c>
    </row>
    <row r="10" customFormat="false" ht="15" hidden="false" customHeight="false" outlineLevel="0" collapsed="false">
      <c r="A10" s="8" t="s">
        <v>35</v>
      </c>
      <c r="B10" s="11" t="n">
        <v>15</v>
      </c>
      <c r="C10" s="10" t="s">
        <v>36</v>
      </c>
    </row>
    <row r="11" customFormat="false" ht="15" hidden="false" customHeight="false" outlineLevel="0" collapsed="false">
      <c r="A11" s="8" t="s">
        <v>37</v>
      </c>
      <c r="B11" s="13" t="n">
        <v>1</v>
      </c>
      <c r="C11" s="10" t="s">
        <v>38</v>
      </c>
    </row>
    <row r="12" customFormat="false" ht="15" hidden="false" customHeight="false" outlineLevel="0" collapsed="false">
      <c r="A12" s="8" t="s">
        <v>39</v>
      </c>
      <c r="B12" s="14" t="n">
        <v>0.25</v>
      </c>
      <c r="C12" s="10" t="s">
        <v>40</v>
      </c>
    </row>
    <row r="13" customFormat="false" ht="15" hidden="false" customHeight="false" outlineLevel="0" collapsed="false">
      <c r="A13" s="8" t="s">
        <v>41</v>
      </c>
      <c r="B13" s="11" t="n">
        <v>1</v>
      </c>
      <c r="C13" s="10" t="s">
        <v>42</v>
      </c>
    </row>
    <row r="14" customFormat="false" ht="15" hidden="false" customHeight="false" outlineLevel="0" collapsed="false">
      <c r="A14" s="8" t="s">
        <v>43</v>
      </c>
      <c r="B14" s="15" t="n">
        <v>12</v>
      </c>
      <c r="C14" s="10" t="s">
        <v>44</v>
      </c>
    </row>
    <row r="16" customFormat="false" ht="17.35" hidden="false" customHeight="false" outlineLevel="0" collapsed="false">
      <c r="A16" s="1" t="s">
        <v>45</v>
      </c>
    </row>
    <row r="17" customFormat="false" ht="15" hidden="false" customHeight="false" outlineLevel="0" collapsed="false">
      <c r="A17" s="16" t="s">
        <v>46</v>
      </c>
      <c r="B17" s="16" t="s">
        <v>47</v>
      </c>
      <c r="C17" s="16" t="s">
        <v>48</v>
      </c>
      <c r="D17" s="16" t="s">
        <v>49</v>
      </c>
      <c r="E17" s="16" t="s">
        <v>50</v>
      </c>
      <c r="F17" s="16" t="s">
        <v>51</v>
      </c>
      <c r="G17" s="16" t="s">
        <v>52</v>
      </c>
    </row>
    <row r="18" customFormat="false" ht="15" hidden="false" customHeight="false" outlineLevel="0" collapsed="false">
      <c r="A18" s="8" t="s">
        <v>53</v>
      </c>
      <c r="B18" s="17" t="n">
        <v>25</v>
      </c>
      <c r="C18" s="11" t="n">
        <v>2.13</v>
      </c>
      <c r="D18" s="11" t="n">
        <v>2</v>
      </c>
      <c r="E18" s="11" t="n">
        <v>1</v>
      </c>
      <c r="F18" s="18" t="s">
        <v>54</v>
      </c>
      <c r="G18" s="15" t="n">
        <v>500</v>
      </c>
    </row>
    <row r="19" customFormat="false" ht="15" hidden="false" customHeight="false" outlineLevel="0" collapsed="false">
      <c r="A19" s="8" t="s">
        <v>55</v>
      </c>
      <c r="B19" s="17" t="n">
        <v>59</v>
      </c>
      <c r="C19" s="11" t="n">
        <v>5.95</v>
      </c>
      <c r="D19" s="11" t="n">
        <v>2</v>
      </c>
      <c r="E19" s="11" t="n">
        <v>2</v>
      </c>
      <c r="F19" s="18" t="s">
        <v>54</v>
      </c>
      <c r="G19" s="15" t="n">
        <v>300</v>
      </c>
    </row>
    <row r="20" customFormat="false" ht="15" hidden="false" customHeight="false" outlineLevel="0" collapsed="false">
      <c r="A20" s="8" t="s">
        <v>56</v>
      </c>
      <c r="B20" s="17" t="n">
        <v>125</v>
      </c>
      <c r="C20" s="11" t="n">
        <v>15.88</v>
      </c>
      <c r="D20" s="11" t="n">
        <v>2</v>
      </c>
      <c r="E20" s="11" t="n">
        <v>4</v>
      </c>
      <c r="F20" s="18" t="s">
        <v>54</v>
      </c>
      <c r="G20" s="15" t="n">
        <v>100</v>
      </c>
    </row>
    <row r="21" customFormat="false" ht="15" hidden="false" customHeight="false" outlineLevel="0" collapsed="false">
      <c r="A21" s="8" t="s">
        <v>57</v>
      </c>
      <c r="B21" s="17" t="n">
        <v>1997</v>
      </c>
      <c r="C21" s="11" t="n">
        <v>49</v>
      </c>
      <c r="D21" s="11" t="n">
        <v>5</v>
      </c>
      <c r="E21" s="11" t="n">
        <v>30</v>
      </c>
      <c r="F21" s="18" t="s">
        <v>54</v>
      </c>
      <c r="G21" s="15" t="n">
        <v>5</v>
      </c>
    </row>
    <row r="22" customFormat="false" ht="15" hidden="false" customHeight="false" outlineLevel="0" collapsed="false">
      <c r="A22" s="8" t="s">
        <v>58</v>
      </c>
      <c r="B22" s="17" t="n">
        <v>299</v>
      </c>
      <c r="C22" s="11" t="n">
        <v>18.92</v>
      </c>
      <c r="D22" s="11" t="n">
        <v>6</v>
      </c>
      <c r="E22" s="11" t="n">
        <v>8</v>
      </c>
      <c r="F22" s="18" t="s">
        <v>59</v>
      </c>
      <c r="G22" s="15" t="n">
        <v>20</v>
      </c>
    </row>
    <row r="23" customFormat="false" ht="15" hidden="false" customHeight="false" outlineLevel="0" collapsed="false">
      <c r="A23" s="8" t="s">
        <v>60</v>
      </c>
      <c r="B23" s="17" t="n">
        <v>499</v>
      </c>
      <c r="C23" s="11" t="n">
        <v>31.53</v>
      </c>
      <c r="D23" s="11" t="n">
        <v>10</v>
      </c>
      <c r="E23" s="11" t="n">
        <v>20</v>
      </c>
      <c r="F23" s="18" t="s">
        <v>59</v>
      </c>
      <c r="G23" s="15" t="n">
        <v>10</v>
      </c>
    </row>
    <row r="24" customFormat="false" ht="15" hidden="false" customHeight="false" outlineLevel="0" collapsed="false">
      <c r="A24" s="8" t="s">
        <v>61</v>
      </c>
      <c r="B24" s="17" t="n">
        <v>999</v>
      </c>
      <c r="C24" s="11" t="n">
        <v>63.07</v>
      </c>
      <c r="D24" s="11" t="n">
        <v>20</v>
      </c>
      <c r="E24" s="11" t="n">
        <v>50</v>
      </c>
      <c r="F24" s="18" t="s">
        <v>59</v>
      </c>
      <c r="G24" s="15" t="n">
        <v>3</v>
      </c>
    </row>
    <row r="26" customFormat="false" ht="15" hidden="false" customHeight="false" outlineLevel="0" collapsed="false">
      <c r="A26" s="2" t="s">
        <v>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" min="2" style="0" width="11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6" min="6" style="0" width="10"/>
    <col collapsed="false" customWidth="true" hidden="false" outlineLevel="0" max="9" min="7" style="0" width="11"/>
    <col collapsed="false" customWidth="true" hidden="false" outlineLevel="0" max="11" min="10" style="0" width="13"/>
    <col collapsed="false" customWidth="true" hidden="false" outlineLevel="0" max="12" min="12" style="0" width="12"/>
    <col collapsed="false" customWidth="true" hidden="false" outlineLevel="0" max="14" min="13" style="0" width="11"/>
  </cols>
  <sheetData>
    <row r="1" customFormat="false" ht="17.35" hidden="false" customHeight="false" outlineLevel="0" collapsed="false">
      <c r="A1" s="1" t="s">
        <v>63</v>
      </c>
    </row>
    <row r="2" customFormat="false" ht="15" hidden="false" customHeight="false" outlineLevel="0" collapsed="false">
      <c r="A2" s="2" t="s">
        <v>64</v>
      </c>
    </row>
    <row r="3" customFormat="false" ht="30" hidden="false" customHeight="true" outlineLevel="0" collapsed="false">
      <c r="A3" s="19" t="s">
        <v>46</v>
      </c>
      <c r="B3" s="19" t="s">
        <v>65</v>
      </c>
      <c r="C3" s="19" t="s">
        <v>66</v>
      </c>
      <c r="D3" s="19" t="s">
        <v>67</v>
      </c>
      <c r="E3" s="19" t="s">
        <v>68</v>
      </c>
      <c r="F3" s="19" t="s">
        <v>69</v>
      </c>
      <c r="G3" s="19" t="s">
        <v>70</v>
      </c>
      <c r="H3" s="19" t="s">
        <v>71</v>
      </c>
      <c r="I3" s="19" t="s">
        <v>72</v>
      </c>
      <c r="J3" s="19" t="s">
        <v>73</v>
      </c>
      <c r="K3" s="19" t="s">
        <v>74</v>
      </c>
      <c r="L3" s="19" t="s">
        <v>75</v>
      </c>
      <c r="M3" s="19" t="s">
        <v>76</v>
      </c>
      <c r="N3" s="19" t="s">
        <v>77</v>
      </c>
    </row>
    <row r="4" customFormat="false" ht="15" hidden="false" customHeight="false" outlineLevel="0" collapsed="false">
      <c r="A4" s="8" t="str">
        <f aca="false">Assumptions!A18</f>
        <v>Starter</v>
      </c>
      <c r="B4" s="20" t="n">
        <f aca="false">Assumptions!B18</f>
        <v>25</v>
      </c>
      <c r="C4" s="20" t="n">
        <f aca="false">Assumptions!C18*Assumptions!$B$11</f>
        <v>2.13</v>
      </c>
      <c r="D4" s="20" t="n">
        <f aca="false">Assumptions!D18</f>
        <v>2</v>
      </c>
      <c r="E4" s="20" t="n">
        <f aca="false">B4*(Assumptions!$B$4+Assumptions!$B$6)+Assumptions!$B$5*Assumptions!$B$7/12+Assumptions!$B$10*Assumptions!$B$9*Assumptions!$B$7/12</f>
        <v>1.35</v>
      </c>
      <c r="F4" s="20" t="n">
        <f aca="false">B4*Assumptions!$B$8</f>
        <v>0.125</v>
      </c>
      <c r="G4" s="20" t="n">
        <f aca="false">Assumptions!E18</f>
        <v>1</v>
      </c>
      <c r="H4" s="20" t="n">
        <f aca="false">Assumptions!$B$13*(1-Assumptions!$B$12)/Assumptions!$B$12/Assumptions!$B$14</f>
        <v>0.25</v>
      </c>
      <c r="I4" s="20" t="n">
        <f aca="false">SUM(C4:H4)</f>
        <v>6.855</v>
      </c>
      <c r="J4" s="20" t="n">
        <f aca="false">B4-I4</f>
        <v>18.145</v>
      </c>
      <c r="K4" s="21" t="n">
        <f aca="false">IF(B4=0,0,J4/B4)</f>
        <v>0.7258</v>
      </c>
      <c r="L4" s="21" t="n">
        <f aca="false">IF(B4=0,0,(B4-C4-D4)/B4)</f>
        <v>0.8348</v>
      </c>
      <c r="M4" s="21" t="n">
        <f aca="false">L4-K4</f>
        <v>0.109</v>
      </c>
      <c r="N4" s="22" t="n">
        <f aca="false">Assumptions!G18</f>
        <v>500</v>
      </c>
    </row>
    <row r="5" customFormat="false" ht="15" hidden="false" customHeight="false" outlineLevel="0" collapsed="false">
      <c r="A5" s="8" t="str">
        <f aca="false">Assumptions!A19</f>
        <v>Standard</v>
      </c>
      <c r="B5" s="20" t="n">
        <f aca="false">Assumptions!B19</f>
        <v>59</v>
      </c>
      <c r="C5" s="20" t="n">
        <f aca="false">Assumptions!C19*Assumptions!$B$11</f>
        <v>5.95</v>
      </c>
      <c r="D5" s="20" t="n">
        <f aca="false">Assumptions!D19</f>
        <v>2</v>
      </c>
      <c r="E5" s="20" t="n">
        <f aca="false">B5*(Assumptions!$B$4+Assumptions!$B$6)+Assumptions!$B$5*Assumptions!$B$7/12+Assumptions!$B$10*Assumptions!$B$9*Assumptions!$B$7/12</f>
        <v>2.574</v>
      </c>
      <c r="F5" s="20" t="n">
        <f aca="false">B5*Assumptions!$B$8</f>
        <v>0.295</v>
      </c>
      <c r="G5" s="20" t="n">
        <f aca="false">Assumptions!E19</f>
        <v>2</v>
      </c>
      <c r="H5" s="20" t="n">
        <f aca="false">Assumptions!$B$13*(1-Assumptions!$B$12)/Assumptions!$B$12/Assumptions!$B$14</f>
        <v>0.25</v>
      </c>
      <c r="I5" s="20" t="n">
        <f aca="false">SUM(C5:H5)</f>
        <v>13.069</v>
      </c>
      <c r="J5" s="20" t="n">
        <f aca="false">B5-I5</f>
        <v>45.931</v>
      </c>
      <c r="K5" s="21" t="n">
        <f aca="false">IF(B5=0,0,J5/B5)</f>
        <v>0.778491525423729</v>
      </c>
      <c r="L5" s="21" t="n">
        <f aca="false">IF(B5=0,0,(B5-C5-D5)/B5)</f>
        <v>0.865254237288136</v>
      </c>
      <c r="M5" s="21" t="n">
        <f aca="false">L5-K5</f>
        <v>0.0867627118644068</v>
      </c>
      <c r="N5" s="22" t="n">
        <f aca="false">Assumptions!G19</f>
        <v>300</v>
      </c>
    </row>
    <row r="6" customFormat="false" ht="15" hidden="false" customHeight="false" outlineLevel="0" collapsed="false">
      <c r="A6" s="8" t="str">
        <f aca="false">Assumptions!A20</f>
        <v>Premium Pro</v>
      </c>
      <c r="B6" s="20" t="n">
        <f aca="false">Assumptions!B20</f>
        <v>125</v>
      </c>
      <c r="C6" s="20" t="n">
        <f aca="false">Assumptions!C20*Assumptions!$B$11</f>
        <v>15.88</v>
      </c>
      <c r="D6" s="20" t="n">
        <f aca="false">Assumptions!D20</f>
        <v>2</v>
      </c>
      <c r="E6" s="20" t="n">
        <f aca="false">B6*(Assumptions!$B$4+Assumptions!$B$6)+Assumptions!$B$5*Assumptions!$B$7/12+Assumptions!$B$10*Assumptions!$B$9*Assumptions!$B$7/12</f>
        <v>4.95</v>
      </c>
      <c r="F6" s="20" t="n">
        <f aca="false">B6*Assumptions!$B$8</f>
        <v>0.625</v>
      </c>
      <c r="G6" s="20" t="n">
        <f aca="false">Assumptions!E20</f>
        <v>4</v>
      </c>
      <c r="H6" s="20" t="n">
        <f aca="false">Assumptions!$B$13*(1-Assumptions!$B$12)/Assumptions!$B$12/Assumptions!$B$14</f>
        <v>0.25</v>
      </c>
      <c r="I6" s="20" t="n">
        <f aca="false">SUM(C6:H6)</f>
        <v>27.705</v>
      </c>
      <c r="J6" s="20" t="n">
        <f aca="false">B6-I6</f>
        <v>97.295</v>
      </c>
      <c r="K6" s="21" t="n">
        <f aca="false">IF(B6=0,0,J6/B6)</f>
        <v>0.77836</v>
      </c>
      <c r="L6" s="21" t="n">
        <f aca="false">IF(B6=0,0,(B6-C6-D6)/B6)</f>
        <v>0.85696</v>
      </c>
      <c r="M6" s="21" t="n">
        <f aca="false">L6-K6</f>
        <v>0.0786</v>
      </c>
      <c r="N6" s="22" t="n">
        <f aca="false">Assumptions!G20</f>
        <v>100</v>
      </c>
    </row>
    <row r="7" customFormat="false" ht="15" hidden="false" customHeight="false" outlineLevel="0" collapsed="false">
      <c r="A7" s="8" t="str">
        <f aca="false">Assumptions!A21</f>
        <v>Elite</v>
      </c>
      <c r="B7" s="20" t="n">
        <f aca="false">Assumptions!B21</f>
        <v>1997</v>
      </c>
      <c r="C7" s="20" t="n">
        <f aca="false">Assumptions!C21*Assumptions!$B$11</f>
        <v>49</v>
      </c>
      <c r="D7" s="20" t="n">
        <f aca="false">Assumptions!D21</f>
        <v>5</v>
      </c>
      <c r="E7" s="20" t="n">
        <f aca="false">B7*(Assumptions!$B$4+Assumptions!$B$6)+Assumptions!$B$5*Assumptions!$B$7/12+Assumptions!$B$10*Assumptions!$B$9*Assumptions!$B$7/12</f>
        <v>72.342</v>
      </c>
      <c r="F7" s="20" t="n">
        <f aca="false">B7*Assumptions!$B$8</f>
        <v>9.985</v>
      </c>
      <c r="G7" s="20" t="n">
        <f aca="false">Assumptions!E21</f>
        <v>30</v>
      </c>
      <c r="H7" s="20" t="n">
        <f aca="false">Assumptions!$B$13*(1-Assumptions!$B$12)/Assumptions!$B$12/Assumptions!$B$14</f>
        <v>0.25</v>
      </c>
      <c r="I7" s="20" t="n">
        <f aca="false">SUM(C7:H7)</f>
        <v>166.577</v>
      </c>
      <c r="J7" s="20" t="n">
        <f aca="false">B7-I7</f>
        <v>1830.423</v>
      </c>
      <c r="K7" s="21" t="n">
        <f aca="false">IF(B7=0,0,J7/B7)</f>
        <v>0.916586379569354</v>
      </c>
      <c r="L7" s="21" t="n">
        <f aca="false">IF(B7=0,0,(B7-C7-D7)/B7)</f>
        <v>0.972959439158738</v>
      </c>
      <c r="M7" s="21" t="n">
        <f aca="false">L7-K7</f>
        <v>0.056373059589384</v>
      </c>
      <c r="N7" s="22" t="n">
        <f aca="false">Assumptions!G21</f>
        <v>5</v>
      </c>
    </row>
    <row r="8" customFormat="false" ht="15" hidden="false" customHeight="false" outlineLevel="0" collapsed="false">
      <c r="A8" s="8" t="str">
        <f aca="false">Assumptions!A22</f>
        <v>Studio (B2B)</v>
      </c>
      <c r="B8" s="20" t="n">
        <f aca="false">Assumptions!B22</f>
        <v>299</v>
      </c>
      <c r="C8" s="20" t="n">
        <f aca="false">Assumptions!C22*Assumptions!$B$11</f>
        <v>18.92</v>
      </c>
      <c r="D8" s="20" t="n">
        <f aca="false">Assumptions!D22</f>
        <v>6</v>
      </c>
      <c r="E8" s="20" t="n">
        <f aca="false">B8*(Assumptions!$B$4+Assumptions!$B$6)+Assumptions!$B$5*Assumptions!$B$7/12+Assumptions!$B$10*Assumptions!$B$9*Assumptions!$B$7/12</f>
        <v>11.214</v>
      </c>
      <c r="F8" s="20" t="n">
        <f aca="false">B8*Assumptions!$B$8</f>
        <v>1.495</v>
      </c>
      <c r="G8" s="20" t="n">
        <f aca="false">Assumptions!E22</f>
        <v>8</v>
      </c>
      <c r="H8" s="20" t="n">
        <f aca="false">Assumptions!$B$13*(1-Assumptions!$B$12)/Assumptions!$B$12/Assumptions!$B$14</f>
        <v>0.25</v>
      </c>
      <c r="I8" s="20" t="n">
        <f aca="false">SUM(C8:H8)</f>
        <v>45.879</v>
      </c>
      <c r="J8" s="20" t="n">
        <f aca="false">B8-I8</f>
        <v>253.121</v>
      </c>
      <c r="K8" s="21" t="n">
        <f aca="false">IF(B8=0,0,J8/B8)</f>
        <v>0.846558528428094</v>
      </c>
      <c r="L8" s="21" t="n">
        <f aca="false">IF(B8=0,0,(B8-C8-D8)/B8)</f>
        <v>0.916655518394649</v>
      </c>
      <c r="M8" s="21" t="n">
        <f aca="false">L8-K8</f>
        <v>0.0700969899665552</v>
      </c>
      <c r="N8" s="22" t="n">
        <f aca="false">Assumptions!G22</f>
        <v>20</v>
      </c>
    </row>
    <row r="9" customFormat="false" ht="15" hidden="false" customHeight="false" outlineLevel="0" collapsed="false">
      <c r="A9" s="8" t="str">
        <f aca="false">Assumptions!A23</f>
        <v>Pro (B2B)</v>
      </c>
      <c r="B9" s="20" t="n">
        <f aca="false">Assumptions!B23</f>
        <v>499</v>
      </c>
      <c r="C9" s="20" t="n">
        <f aca="false">Assumptions!C23*Assumptions!$B$11</f>
        <v>31.53</v>
      </c>
      <c r="D9" s="20" t="n">
        <f aca="false">Assumptions!D23</f>
        <v>10</v>
      </c>
      <c r="E9" s="20" t="n">
        <f aca="false">B9*(Assumptions!$B$4+Assumptions!$B$6)+Assumptions!$B$5*Assumptions!$B$7/12+Assumptions!$B$10*Assumptions!$B$9*Assumptions!$B$7/12</f>
        <v>18.414</v>
      </c>
      <c r="F9" s="20" t="n">
        <f aca="false">B9*Assumptions!$B$8</f>
        <v>2.495</v>
      </c>
      <c r="G9" s="20" t="n">
        <f aca="false">Assumptions!E23</f>
        <v>20</v>
      </c>
      <c r="H9" s="20" t="n">
        <f aca="false">Assumptions!$B$13*(1-Assumptions!$B$12)/Assumptions!$B$12/Assumptions!$B$14</f>
        <v>0.25</v>
      </c>
      <c r="I9" s="20" t="n">
        <f aca="false">SUM(C9:H9)</f>
        <v>82.689</v>
      </c>
      <c r="J9" s="20" t="n">
        <f aca="false">B9-I9</f>
        <v>416.311</v>
      </c>
      <c r="K9" s="21" t="n">
        <f aca="false">IF(B9=0,0,J9/B9)</f>
        <v>0.834290581162325</v>
      </c>
      <c r="L9" s="21" t="n">
        <f aca="false">IF(B9=0,0,(B9-C9-D9)/B9)</f>
        <v>0.916773547094189</v>
      </c>
      <c r="M9" s="21" t="n">
        <f aca="false">L9-K9</f>
        <v>0.0824829659318639</v>
      </c>
      <c r="N9" s="22" t="n">
        <f aca="false">Assumptions!G23</f>
        <v>10</v>
      </c>
    </row>
    <row r="10" customFormat="false" ht="15" hidden="false" customHeight="false" outlineLevel="0" collapsed="false">
      <c r="A10" s="8" t="str">
        <f aca="false">Assumptions!A24</f>
        <v>Enterprise</v>
      </c>
      <c r="B10" s="20" t="n">
        <f aca="false">Assumptions!B24</f>
        <v>999</v>
      </c>
      <c r="C10" s="20" t="n">
        <f aca="false">Assumptions!C24*Assumptions!$B$11</f>
        <v>63.07</v>
      </c>
      <c r="D10" s="20" t="n">
        <f aca="false">Assumptions!D24</f>
        <v>20</v>
      </c>
      <c r="E10" s="20" t="n">
        <f aca="false">B10*(Assumptions!$B$4+Assumptions!$B$6)+Assumptions!$B$5*Assumptions!$B$7/12+Assumptions!$B$10*Assumptions!$B$9*Assumptions!$B$7/12</f>
        <v>36.414</v>
      </c>
      <c r="F10" s="20" t="n">
        <f aca="false">B10*Assumptions!$B$8</f>
        <v>4.995</v>
      </c>
      <c r="G10" s="20" t="n">
        <f aca="false">Assumptions!E24</f>
        <v>50</v>
      </c>
      <c r="H10" s="20" t="n">
        <f aca="false">Assumptions!$B$13*(1-Assumptions!$B$12)/Assumptions!$B$12/Assumptions!$B$14</f>
        <v>0.25</v>
      </c>
      <c r="I10" s="20" t="n">
        <f aca="false">SUM(C10:H10)</f>
        <v>174.729</v>
      </c>
      <c r="J10" s="20" t="n">
        <f aca="false">B10-I10</f>
        <v>824.271</v>
      </c>
      <c r="K10" s="21" t="n">
        <f aca="false">IF(B10=0,0,J10/B10)</f>
        <v>0.825096096096096</v>
      </c>
      <c r="L10" s="21" t="n">
        <f aca="false">IF(B10=0,0,(B10-C10-D10)/B10)</f>
        <v>0.916846846846847</v>
      </c>
      <c r="M10" s="21" t="n">
        <f aca="false">L10-K10</f>
        <v>0.0917507507507508</v>
      </c>
      <c r="N10" s="22" t="n">
        <f aca="false">Assumptions!G24</f>
        <v>3</v>
      </c>
    </row>
    <row r="12" customFormat="false" ht="15" hidden="false" customHeight="false" outlineLevel="0" collapsed="false">
      <c r="A12" s="23" t="s">
        <v>78</v>
      </c>
      <c r="B12" s="24" t="n">
        <f aca="false">SUMPRODUCT(B4:B10,N4:N10)</f>
        <v>66652</v>
      </c>
      <c r="C12" s="23"/>
      <c r="D12" s="23"/>
      <c r="E12" s="23"/>
      <c r="F12" s="23"/>
      <c r="G12" s="23"/>
      <c r="H12" s="23"/>
      <c r="I12" s="23"/>
      <c r="J12" s="24" t="n">
        <f aca="false">SUMPRODUCT(J4:J10,N4:N10)</f>
        <v>53431.758</v>
      </c>
      <c r="K12" s="25" t="n">
        <f aca="false">IF(SUMPRODUCT(B4:B10,N4:N10)=0,0,SUMPRODUCT(J4:J10,N4:N10)/SUMPRODUCT(B4:B10,N4:N10))</f>
        <v>0.801652733601392</v>
      </c>
      <c r="L12" s="23"/>
      <c r="M12" s="23"/>
      <c r="N12" s="26" t="n">
        <f aca="false">SUM(N4:N10)</f>
        <v>938</v>
      </c>
    </row>
    <row r="14" customFormat="false" ht="15" hidden="false" customHeight="false" outlineLevel="0" collapsed="false">
      <c r="A14" s="2" t="s">
        <v>79</v>
      </c>
    </row>
    <row r="15" customFormat="false" ht="15" hidden="false" customHeight="false" outlineLevel="0" collapsed="false">
      <c r="A15" s="2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5" min="3" style="0" width="18"/>
  </cols>
  <sheetData>
    <row r="1" customFormat="false" ht="17.35" hidden="false" customHeight="false" outlineLevel="0" collapsed="false">
      <c r="A1" s="1" t="s">
        <v>81</v>
      </c>
    </row>
    <row r="3" customFormat="false" ht="15" hidden="false" customHeight="false" outlineLevel="0" collapsed="false">
      <c r="A3" s="3" t="s">
        <v>82</v>
      </c>
    </row>
    <row r="4" customFormat="false" ht="15" hidden="false" customHeight="false" outlineLevel="0" collapsed="false">
      <c r="A4" s="2" t="s">
        <v>83</v>
      </c>
    </row>
    <row r="5" customFormat="false" ht="30" hidden="false" customHeight="true" outlineLevel="0" collapsed="false">
      <c r="A5" s="19" t="s">
        <v>46</v>
      </c>
      <c r="B5" s="19" t="s">
        <v>65</v>
      </c>
      <c r="C5" s="19" t="s">
        <v>84</v>
      </c>
      <c r="D5" s="19" t="s">
        <v>85</v>
      </c>
      <c r="E5" s="19" t="s">
        <v>86</v>
      </c>
    </row>
    <row r="6" customFormat="false" ht="15" hidden="false" customHeight="false" outlineLevel="0" collapsed="false">
      <c r="A6" s="8" t="str">
        <f aca="false">Assumptions!A18</f>
        <v>Starter</v>
      </c>
      <c r="B6" s="27" t="n">
        <f aca="false">Assumptions!B18</f>
        <v>25</v>
      </c>
      <c r="C6" s="21" t="n">
        <f aca="false">(Assumptions!$B$4+Assumptions!$B$6)+(Assumptions!$B$5*12/12)/Assumptions!B18+(Assumptions!$B$10*Assumptions!$B$9*12/12)/Assumptions!B18</f>
        <v>0.054</v>
      </c>
      <c r="D6" s="21" t="n">
        <f aca="false">(Assumptions!$B$4+Assumptions!$B$6)+(Assumptions!$B$5*1/12)/Assumptions!B18+(Assumptions!$B$10*Assumptions!$B$9*1/12)/Assumptions!B18</f>
        <v>0.0375</v>
      </c>
      <c r="E6" s="21" t="n">
        <f aca="false">C6-D6</f>
        <v>0.0165</v>
      </c>
    </row>
    <row r="7" customFormat="false" ht="15" hidden="false" customHeight="false" outlineLevel="0" collapsed="false">
      <c r="A7" s="8" t="str">
        <f aca="false">Assumptions!A19</f>
        <v>Standard</v>
      </c>
      <c r="B7" s="27" t="n">
        <f aca="false">Assumptions!B19</f>
        <v>59</v>
      </c>
      <c r="C7" s="21" t="n">
        <f aca="false">(Assumptions!$B$4+Assumptions!$B$6)+(Assumptions!$B$5*12/12)/Assumptions!B19+(Assumptions!$B$10*Assumptions!$B$9*12/12)/Assumptions!B19</f>
        <v>0.0436271186440678</v>
      </c>
      <c r="D7" s="21" t="n">
        <f aca="false">(Assumptions!$B$4+Assumptions!$B$6)+(Assumptions!$B$5*1/12)/Assumptions!B19+(Assumptions!$B$10*Assumptions!$B$9*1/12)/Assumptions!B19</f>
        <v>0.036635593220339</v>
      </c>
      <c r="E7" s="21" t="n">
        <f aca="false">C7-D7</f>
        <v>0.00699152542372882</v>
      </c>
    </row>
    <row r="8" customFormat="false" ht="15" hidden="false" customHeight="false" outlineLevel="0" collapsed="false">
      <c r="A8" s="8" t="str">
        <f aca="false">Assumptions!A20</f>
        <v>Premium Pro</v>
      </c>
      <c r="B8" s="27" t="n">
        <f aca="false">Assumptions!B20</f>
        <v>125</v>
      </c>
      <c r="C8" s="21" t="n">
        <f aca="false">(Assumptions!$B$4+Assumptions!$B$6)+(Assumptions!$B$5*12/12)/Assumptions!B20+(Assumptions!$B$10*Assumptions!$B$9*12/12)/Assumptions!B20</f>
        <v>0.0396</v>
      </c>
      <c r="D8" s="21" t="n">
        <f aca="false">(Assumptions!$B$4+Assumptions!$B$6)+(Assumptions!$B$5*1/12)/Assumptions!B20+(Assumptions!$B$10*Assumptions!$B$9*1/12)/Assumptions!B20</f>
        <v>0.0363</v>
      </c>
      <c r="E8" s="21" t="n">
        <f aca="false">C8-D8</f>
        <v>0.0033</v>
      </c>
    </row>
    <row r="9" customFormat="false" ht="15" hidden="false" customHeight="false" outlineLevel="0" collapsed="false">
      <c r="A9" s="8" t="str">
        <f aca="false">Assumptions!A21</f>
        <v>Elite</v>
      </c>
      <c r="B9" s="27" t="n">
        <f aca="false">Assumptions!B21</f>
        <v>1997</v>
      </c>
      <c r="C9" s="21" t="n">
        <f aca="false">(Assumptions!$B$4+Assumptions!$B$6)+(Assumptions!$B$5*12/12)/Assumptions!B21+(Assumptions!$B$10*Assumptions!$B$9*12/12)/Assumptions!B21</f>
        <v>0.0362253380070105</v>
      </c>
      <c r="D9" s="21" t="n">
        <f aca="false">(Assumptions!$B$4+Assumptions!$B$6)+(Assumptions!$B$5*1/12)/Assumptions!B21+(Assumptions!$B$10*Assumptions!$B$9*1/12)/Assumptions!B21</f>
        <v>0.0360187781672509</v>
      </c>
      <c r="E9" s="21" t="n">
        <f aca="false">C9-D9</f>
        <v>0.000206559839759639</v>
      </c>
    </row>
    <row r="10" customFormat="false" ht="15" hidden="false" customHeight="false" outlineLevel="0" collapsed="false">
      <c r="A10" s="8" t="str">
        <f aca="false">Assumptions!A22</f>
        <v>Studio (B2B)</v>
      </c>
      <c r="B10" s="27" t="n">
        <f aca="false">Assumptions!B22</f>
        <v>299</v>
      </c>
      <c r="C10" s="21" t="n">
        <f aca="false">(Assumptions!$B$4+Assumptions!$B$6)+(Assumptions!$B$5*12/12)/Assumptions!B22+(Assumptions!$B$10*Assumptions!$B$9*12/12)/Assumptions!B22</f>
        <v>0.037505016722408</v>
      </c>
      <c r="D10" s="21" t="n">
        <f aca="false">(Assumptions!$B$4+Assumptions!$B$6)+(Assumptions!$B$5*1/12)/Assumptions!B22+(Assumptions!$B$10*Assumptions!$B$9*1/12)/Assumptions!B22</f>
        <v>0.0361254180602007</v>
      </c>
      <c r="E10" s="21" t="n">
        <f aca="false">C10-D10</f>
        <v>0.00137959866220735</v>
      </c>
    </row>
    <row r="11" customFormat="false" ht="15" hidden="false" customHeight="false" outlineLevel="0" collapsed="false">
      <c r="A11" s="8" t="str">
        <f aca="false">Assumptions!A23</f>
        <v>Pro (B2B)</v>
      </c>
      <c r="B11" s="27" t="n">
        <f aca="false">Assumptions!B23</f>
        <v>499</v>
      </c>
      <c r="C11" s="21" t="n">
        <f aca="false">(Assumptions!$B$4+Assumptions!$B$6)+(Assumptions!$B$5*12/12)/Assumptions!B23+(Assumptions!$B$10*Assumptions!$B$9*12/12)/Assumptions!B23</f>
        <v>0.0369018036072144</v>
      </c>
      <c r="D11" s="21" t="n">
        <f aca="false">(Assumptions!$B$4+Assumptions!$B$6)+(Assumptions!$B$5*1/12)/Assumptions!B23+(Assumptions!$B$10*Assumptions!$B$9*1/12)/Assumptions!B23</f>
        <v>0.0360751503006012</v>
      </c>
      <c r="E11" s="21" t="n">
        <f aca="false">C11-D11</f>
        <v>0.000826653306613225</v>
      </c>
    </row>
    <row r="12" customFormat="false" ht="15" hidden="false" customHeight="false" outlineLevel="0" collapsed="false">
      <c r="A12" s="8" t="str">
        <f aca="false">Assumptions!A24</f>
        <v>Enterprise</v>
      </c>
      <c r="B12" s="27" t="n">
        <f aca="false">Assumptions!B24</f>
        <v>999</v>
      </c>
      <c r="C12" s="21" t="n">
        <f aca="false">(Assumptions!$B$4+Assumptions!$B$6)+(Assumptions!$B$5*12/12)/Assumptions!B24+(Assumptions!$B$10*Assumptions!$B$9*12/12)/Assumptions!B24</f>
        <v>0.0364504504504505</v>
      </c>
      <c r="D12" s="21" t="n">
        <f aca="false">(Assumptions!$B$4+Assumptions!$B$6)+(Assumptions!$B$5*1/12)/Assumptions!B24+(Assumptions!$B$10*Assumptions!$B$9*1/12)/Assumptions!B24</f>
        <v>0.0360375375375375</v>
      </c>
      <c r="E12" s="21" t="n">
        <f aca="false">C12-D12</f>
        <v>0.00041291291291292</v>
      </c>
    </row>
    <row r="15" customFormat="false" ht="15" hidden="false" customHeight="false" outlineLevel="0" collapsed="false">
      <c r="A15" s="3" t="s">
        <v>87</v>
      </c>
    </row>
    <row r="16" customFormat="false" ht="15" hidden="false" customHeight="false" outlineLevel="0" collapsed="false">
      <c r="A16" s="2" t="s">
        <v>88</v>
      </c>
    </row>
    <row r="17" customFormat="false" ht="27.75" hidden="false" customHeight="true" outlineLevel="0" collapsed="false">
      <c r="A17" s="28" t="s">
        <v>46</v>
      </c>
      <c r="B17" s="19" t="s">
        <v>89</v>
      </c>
      <c r="C17" s="19" t="s">
        <v>90</v>
      </c>
      <c r="D17" s="19" t="s">
        <v>91</v>
      </c>
      <c r="E17" s="19" t="s">
        <v>92</v>
      </c>
    </row>
    <row r="18" customFormat="false" ht="15" hidden="false" customHeight="false" outlineLevel="0" collapsed="false">
      <c r="A18" s="8" t="str">
        <f aca="false">Assumptions!A18</f>
        <v>Starter</v>
      </c>
      <c r="B18" s="21" t="n">
        <f aca="false">IF(MarginModel!B4=0,0,(MarginModel!B4-(MarginModel!I4-MarginModel!C4)-Assumptions!C18*0.5)/MarginModel!B4)</f>
        <v>0.7684</v>
      </c>
      <c r="C18" s="21" t="n">
        <f aca="false">IF(MarginModel!B4=0,0,(MarginModel!B4-(MarginModel!I4-MarginModel!C4)-Assumptions!C18*1)/MarginModel!B4)</f>
        <v>0.7258</v>
      </c>
      <c r="D18" s="21" t="n">
        <f aca="false">IF(MarginModel!B4=0,0,(MarginModel!B4-(MarginModel!I4-MarginModel!C4)-Assumptions!C18*2)/MarginModel!B4)</f>
        <v>0.6406</v>
      </c>
      <c r="E18" s="21" t="n">
        <f aca="false">IF(MarginModel!B4=0,0,(MarginModel!B4-(MarginModel!I4-MarginModel!C4)-Assumptions!C18*3)/MarginModel!B4)</f>
        <v>0.5554</v>
      </c>
    </row>
    <row r="19" customFormat="false" ht="15" hidden="false" customHeight="false" outlineLevel="0" collapsed="false">
      <c r="A19" s="8" t="str">
        <f aca="false">Assumptions!A19</f>
        <v>Standard</v>
      </c>
      <c r="B19" s="21" t="n">
        <f aca="false">IF(MarginModel!B5=0,0,(MarginModel!B5-(MarginModel!I5-MarginModel!C5)-Assumptions!C19*0.5)/MarginModel!B5)</f>
        <v>0.828915254237288</v>
      </c>
      <c r="C19" s="21" t="n">
        <f aca="false">IF(MarginModel!B5=0,0,(MarginModel!B5-(MarginModel!I5-MarginModel!C5)-Assumptions!C19*1)/MarginModel!B5)</f>
        <v>0.778491525423729</v>
      </c>
      <c r="D19" s="21" t="n">
        <f aca="false">IF(MarginModel!B5=0,0,(MarginModel!B5-(MarginModel!I5-MarginModel!C5)-Assumptions!C19*2)/MarginModel!B5)</f>
        <v>0.67764406779661</v>
      </c>
      <c r="E19" s="21" t="n">
        <f aca="false">IF(MarginModel!B5=0,0,(MarginModel!B5-(MarginModel!I5-MarginModel!C5)-Assumptions!C19*3)/MarginModel!B5)</f>
        <v>0.576796610169492</v>
      </c>
    </row>
    <row r="20" customFormat="false" ht="15" hidden="false" customHeight="false" outlineLevel="0" collapsed="false">
      <c r="A20" s="8" t="str">
        <f aca="false">Assumptions!A20</f>
        <v>Premium Pro</v>
      </c>
      <c r="B20" s="21" t="n">
        <f aca="false">IF(MarginModel!B6=0,0,(MarginModel!B6-(MarginModel!I6-MarginModel!C6)-Assumptions!C20*0.5)/MarginModel!B6)</f>
        <v>0.84188</v>
      </c>
      <c r="C20" s="21" t="n">
        <f aca="false">IF(MarginModel!B6=0,0,(MarginModel!B6-(MarginModel!I6-MarginModel!C6)-Assumptions!C20*1)/MarginModel!B6)</f>
        <v>0.77836</v>
      </c>
      <c r="D20" s="21" t="n">
        <f aca="false">IF(MarginModel!B6=0,0,(MarginModel!B6-(MarginModel!I6-MarginModel!C6)-Assumptions!C20*2)/MarginModel!B6)</f>
        <v>0.65132</v>
      </c>
      <c r="E20" s="21" t="n">
        <f aca="false">IF(MarginModel!B6=0,0,(MarginModel!B6-(MarginModel!I6-MarginModel!C6)-Assumptions!C20*3)/MarginModel!B6)</f>
        <v>0.52428</v>
      </c>
    </row>
    <row r="21" customFormat="false" ht="15" hidden="false" customHeight="false" outlineLevel="0" collapsed="false">
      <c r="A21" s="8" t="str">
        <f aca="false">Assumptions!A21</f>
        <v>Elite</v>
      </c>
      <c r="B21" s="21" t="n">
        <f aca="false">IF(MarginModel!B7=0,0,(MarginModel!B7-(MarginModel!I7-MarginModel!C7)-Assumptions!C21*0.5)/MarginModel!B7)</f>
        <v>0.92885478217326</v>
      </c>
      <c r="C21" s="21" t="n">
        <f aca="false">IF(MarginModel!B7=0,0,(MarginModel!B7-(MarginModel!I7-MarginModel!C7)-Assumptions!C21*1)/MarginModel!B7)</f>
        <v>0.916586379569354</v>
      </c>
      <c r="D21" s="21" t="n">
        <f aca="false">IF(MarginModel!B7=0,0,(MarginModel!B7-(MarginModel!I7-MarginModel!C7)-Assumptions!C21*2)/MarginModel!B7)</f>
        <v>0.892049574361542</v>
      </c>
      <c r="E21" s="21" t="n">
        <f aca="false">IF(MarginModel!B7=0,0,(MarginModel!B7-(MarginModel!I7-MarginModel!C7)-Assumptions!C21*3)/MarginModel!B7)</f>
        <v>0.867512769153731</v>
      </c>
    </row>
    <row r="22" customFormat="false" ht="15" hidden="false" customHeight="false" outlineLevel="0" collapsed="false">
      <c r="A22" s="8" t="str">
        <f aca="false">Assumptions!A22</f>
        <v>Studio (B2B)</v>
      </c>
      <c r="B22" s="21" t="n">
        <f aca="false">IF(MarginModel!B8=0,0,(MarginModel!B8-(MarginModel!I8-MarginModel!C8)-Assumptions!C22*0.5)/MarginModel!B8)</f>
        <v>0.878197324414716</v>
      </c>
      <c r="C22" s="21" t="n">
        <f aca="false">IF(MarginModel!B8=0,0,(MarginModel!B8-(MarginModel!I8-MarginModel!C8)-Assumptions!C22*1)/MarginModel!B8)</f>
        <v>0.846558528428094</v>
      </c>
      <c r="D22" s="21" t="n">
        <f aca="false">IF(MarginModel!B8=0,0,(MarginModel!B8-(MarginModel!I8-MarginModel!C8)-Assumptions!C22*2)/MarginModel!B8)</f>
        <v>0.78328093645485</v>
      </c>
      <c r="E22" s="21" t="n">
        <f aca="false">IF(MarginModel!B8=0,0,(MarginModel!B8-(MarginModel!I8-MarginModel!C8)-Assumptions!C22*3)/MarginModel!B8)</f>
        <v>0.720003344481605</v>
      </c>
    </row>
    <row r="23" customFormat="false" ht="15" hidden="false" customHeight="false" outlineLevel="0" collapsed="false">
      <c r="A23" s="8" t="str">
        <f aca="false">Assumptions!A23</f>
        <v>Pro (B2B)</v>
      </c>
      <c r="B23" s="21" t="n">
        <f aca="false">IF(MarginModel!B9=0,0,(MarginModel!B9-(MarginModel!I9-MarginModel!C9)-Assumptions!C23*0.5)/MarginModel!B9)</f>
        <v>0.86588376753507</v>
      </c>
      <c r="C23" s="21" t="n">
        <f aca="false">IF(MarginModel!B9=0,0,(MarginModel!B9-(MarginModel!I9-MarginModel!C9)-Assumptions!C23*1)/MarginModel!B9)</f>
        <v>0.834290581162325</v>
      </c>
      <c r="D23" s="21" t="n">
        <f aca="false">IF(MarginModel!B9=0,0,(MarginModel!B9-(MarginModel!I9-MarginModel!C9)-Assumptions!C23*2)/MarginModel!B9)</f>
        <v>0.771104208416834</v>
      </c>
      <c r="E23" s="21" t="n">
        <f aca="false">IF(MarginModel!B9=0,0,(MarginModel!B9-(MarginModel!I9-MarginModel!C9)-Assumptions!C23*3)/MarginModel!B9)</f>
        <v>0.707917835671343</v>
      </c>
    </row>
    <row r="24" customFormat="false" ht="15" hidden="false" customHeight="false" outlineLevel="0" collapsed="false">
      <c r="A24" s="8" t="str">
        <f aca="false">Assumptions!A24</f>
        <v>Enterprise</v>
      </c>
      <c r="B24" s="21" t="n">
        <f aca="false">IF(MarginModel!B10=0,0,(MarginModel!B10-(MarginModel!I10-MarginModel!C10)-Assumptions!C24*0.5)/MarginModel!B10)</f>
        <v>0.856662662662663</v>
      </c>
      <c r="C24" s="21" t="n">
        <f aca="false">IF(MarginModel!B10=0,0,(MarginModel!B10-(MarginModel!I10-MarginModel!C10)-Assumptions!C24*1)/MarginModel!B10)</f>
        <v>0.825096096096096</v>
      </c>
      <c r="D24" s="21" t="n">
        <f aca="false">IF(MarginModel!B10=0,0,(MarginModel!B10-(MarginModel!I10-MarginModel!C10)-Assumptions!C24*2)/MarginModel!B10)</f>
        <v>0.761962962962963</v>
      </c>
      <c r="E24" s="21" t="n">
        <f aca="false">IF(MarginModel!B10=0,0,(MarginModel!B10-(MarginModel!I10-MarginModel!C10)-Assumptions!C24*3)/MarginModel!B10)</f>
        <v>0.69882982982983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2026-07-14T17:55:02Z</dcterms:created>
  <dc:creator>openpyxl</dc:creator>
  <dc:description/>
  <dc:language>en-US</dc:language>
  <cp:lastModifiedBy/>
  <dcterms:modified xsi:type="dcterms:W3CDTF">2026-07-14T17:55:02Z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